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A28C339C-9A21-4A00-99CE-FC1DE8DB7B66}" xr6:coauthVersionLast="47" xr6:coauthVersionMax="47" xr10:uidLastSave="{00000000-0000-0000-0000-000000000000}"/>
  <workbookProtection lockStructure="1"/>
  <bookViews>
    <workbookView xWindow="-120" yWindow="-120" windowWidth="29040" windowHeight="15720" xr2:uid="{491084B4-AF9D-478B-BC72-A7D1BA165075}"/>
  </bookViews>
  <sheets>
    <sheet name="Farmers_linked" sheetId="2" r:id="rId1"/>
    <sheet name="reliability_table" sheetId="3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" i="3" l="1"/>
  <c r="F1" i="3"/>
  <c r="F2" i="3" s="1"/>
  <c r="F3" i="3" s="1"/>
  <c r="C52" i="2"/>
  <c r="F52" i="2" s="1"/>
  <c r="C39" i="2"/>
  <c r="F7" i="3" l="1" a="1"/>
  <c r="F7" i="3" s="1"/>
  <c r="F5" i="3" a="1"/>
  <c r="F5" i="3" s="1"/>
  <c r="F6" i="3" a="1"/>
  <c r="F6" i="3" s="1"/>
  <c r="F4" i="3" a="1"/>
  <c r="F4" i="3" s="1"/>
  <c r="F8" i="3" l="1"/>
  <c r="F9" i="3" l="1"/>
  <c r="F35" i="2" s="1"/>
  <c r="C35" i="2" s="1"/>
  <c r="F25" i="2"/>
  <c r="F40" i="2" s="1"/>
  <c r="F22" i="2"/>
  <c r="F23" i="2" s="1"/>
  <c r="C23" i="2" s="1"/>
  <c r="C10" i="2"/>
  <c r="F36" i="2" l="1"/>
  <c r="C36" i="2" s="1"/>
  <c r="C25" i="2"/>
  <c r="C22" i="2"/>
  <c r="F24" i="2"/>
  <c r="C21" i="2"/>
  <c r="C24" i="2" l="1"/>
  <c r="C26" i="2" s="1"/>
  <c r="C48" i="2" l="1"/>
  <c r="F48" i="2" s="1"/>
  <c r="C30" i="2"/>
  <c r="F31" i="2" s="1"/>
  <c r="I2" i="3" s="1"/>
  <c r="I3" i="3" l="1"/>
  <c r="I4" i="3" a="1"/>
  <c r="I4" i="3" s="1"/>
  <c r="I6" i="3" a="1"/>
  <c r="I6" i="3" s="1"/>
  <c r="C55" i="2"/>
  <c r="C56" i="2" s="1"/>
  <c r="F56" i="2" s="1"/>
  <c r="C31" i="2"/>
  <c r="I5" i="3" l="1" a="1"/>
  <c r="I5" i="3" s="1"/>
  <c r="I7" i="3" a="1"/>
  <c r="I7" i="3" s="1"/>
  <c r="C58" i="2"/>
  <c r="F58" i="2" s="1"/>
  <c r="C57" i="2"/>
  <c r="F57" i="2" s="1"/>
  <c r="F43" i="2"/>
  <c r="F44" i="2" s="1"/>
  <c r="I8" i="3" l="1"/>
  <c r="I9" i="3" s="1"/>
  <c r="C61" i="2"/>
  <c r="C62" i="2"/>
  <c r="C63" i="2"/>
  <c r="C40" i="2"/>
  <c r="C44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<sst xmlns="http://schemas.openxmlformats.org/spreadsheetml/2006/main" count="124" uniqueCount="82">
  <si>
    <t>Inputs</t>
  </si>
  <si>
    <t>Annual charge per storage share</t>
  </si>
  <si>
    <t>Add in the number of days storage you want to hold</t>
  </si>
  <si>
    <t>Storage shares required</t>
  </si>
  <si>
    <t>Deposit</t>
  </si>
  <si>
    <t>1/3rd</t>
  </si>
  <si>
    <t>Annual storage charge</t>
  </si>
  <si>
    <t>Number of NewCo shares you want to purchase</t>
  </si>
  <si>
    <t>Wrights Road Storage Calculator</t>
  </si>
  <si>
    <t>Shareholder inputs</t>
  </si>
  <si>
    <t>WIL shares held</t>
  </si>
  <si>
    <t>Option 1 - Days of storage</t>
  </si>
  <si>
    <t>Option 2 - Reliability</t>
  </si>
  <si>
    <t>L/s</t>
  </si>
  <si>
    <t>m³/storage share</t>
  </si>
  <si>
    <t>m²/ha</t>
  </si>
  <si>
    <t>L/m³</t>
  </si>
  <si>
    <t>mm/m</t>
  </si>
  <si>
    <t>s/day</t>
  </si>
  <si>
    <t>$/storage share</t>
  </si>
  <si>
    <t>Flow entitlement per WIL share</t>
  </si>
  <si>
    <t xml:space="preserve">Wright's Road share volume </t>
  </si>
  <si>
    <t>Unit conversion square metres in a hectare</t>
  </si>
  <si>
    <t>Unit conversion litres in a cubic metre</t>
  </si>
  <si>
    <t>Unit conversion seconds in a day</t>
  </si>
  <si>
    <t>Calculated shareholder info</t>
  </si>
  <si>
    <t>shares</t>
  </si>
  <si>
    <t>L/s/ha</t>
  </si>
  <si>
    <t>m³/day</t>
  </si>
  <si>
    <t>m³/ha</t>
  </si>
  <si>
    <t>m³</t>
  </si>
  <si>
    <t>mm/day</t>
  </si>
  <si>
    <t>m³/ha/day</t>
  </si>
  <si>
    <t>Daily water requirement</t>
  </si>
  <si>
    <t>shares/ha</t>
  </si>
  <si>
    <t>L/s/share</t>
  </si>
  <si>
    <t>Equity calculator per storage share</t>
  </si>
  <si>
    <t>ha</t>
  </si>
  <si>
    <t>Irrigated area</t>
  </si>
  <si>
    <t>Existing on farm storage</t>
  </si>
  <si>
    <t>Shares</t>
  </si>
  <si>
    <t>Application rate</t>
  </si>
  <si>
    <t>Daily application depth</t>
  </si>
  <si>
    <t>Storage (m³/ha)</t>
  </si>
  <si>
    <t>Required storage</t>
  </si>
  <si>
    <t>Average reliability (1999-2024)</t>
  </si>
  <si>
    <t>Closest reliability (low)</t>
  </si>
  <si>
    <t>Closest index (low)</t>
  </si>
  <si>
    <t>Closest index (high)</t>
  </si>
  <si>
    <t>Closest reliability (high)</t>
  </si>
  <si>
    <t>Closest storage (low)</t>
  </si>
  <si>
    <t>Closest storage (high)</t>
  </si>
  <si>
    <t>Target reliability</t>
  </si>
  <si>
    <t>Estimated slope (storage/reliability)</t>
  </si>
  <si>
    <t>Estimated storage required (m³/ha)</t>
  </si>
  <si>
    <t>Required storage volume</t>
  </si>
  <si>
    <t>Equity contribution cost</t>
  </si>
  <si>
    <t>$/ha</t>
  </si>
  <si>
    <t>Required storage (less existing on-farm storage)</t>
  </si>
  <si>
    <t>days</t>
  </si>
  <si>
    <t>Number of days in existing storage</t>
  </si>
  <si>
    <t>Required days (less existing on-farm storage)</t>
  </si>
  <si>
    <t>Estimated total storage required</t>
  </si>
  <si>
    <t>mm/year</t>
  </si>
  <si>
    <t>Option 3 - Storage per hectare</t>
  </si>
  <si>
    <t>Option 4 - Total storage volume</t>
  </si>
  <si>
    <t>Option 5 - Annual application depth</t>
  </si>
  <si>
    <t>Option 6 - Participation</t>
  </si>
  <si>
    <t>Target storage</t>
  </si>
  <si>
    <t>Estimated slope (reliability/storage)</t>
  </si>
  <si>
    <t>Estimated reliability</t>
  </si>
  <si>
    <t>Total values</t>
  </si>
  <si>
    <t>Per hectare values</t>
  </si>
  <si>
    <t>Enter annual application from storage required (mm)</t>
  </si>
  <si>
    <t>$</t>
  </si>
  <si>
    <t>Payments</t>
  </si>
  <si>
    <t>WIL changes the blue cells / farmers change green cells / all other cells are locked</t>
  </si>
  <si>
    <t>Enter desired total storage per hectare (including on-farm)</t>
  </si>
  <si>
    <t>Enter desired total storage (including on-farm)</t>
  </si>
  <si>
    <t>Enter target average reliability (may be higher/lower in some years)</t>
  </si>
  <si>
    <t>Required Wright's Road storage</t>
  </si>
  <si>
    <t>Unit conversion millimetres in a metre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</si>
</sst>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&quot;$&quot;* #,##0.00_);_(&quot;$&quot;* \(#,##0.00\);_(&quot;$&quot;* &quot;-&quot;??_);_(@_)"/>
    <numFmt numFmtId="165" formatCode="#,##0.000"/>
    <numFmt numFmtId="166" formatCode="&quot;$&quot;#,##0"/>
    <numFmt numFmtId="167" formatCode="#,##0.0"/>
    <numFmt numFmtId="168" formatCode="_-&quot;$&quot;* #,##0_-;\-&quot;$&quot;* #,##0_-;_-&quot;$&quot;* &quot;-&quot;??_-;_-@_-"/>
    <numFmt numFmtId="169" formatCode="0.0%"/>
    <numFmt numFmtId="170" formatCode="0.0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65">
    <xf numFmtId="0" fontId="0" fillId="0" borderId="0" xfId="0"/>
    <xf numFmtId="3" fontId="0" fillId="0" borderId="0" xfId="0" applyNumberFormat="1"/>
    <xf numFmtId="169" fontId="0" fillId="0" borderId="0" xfId="1" applyNumberFormat="1" applyFont="1"/>
    <xf numFmtId="9" fontId="0" fillId="0" borderId="0" xfId="0" applyNumberFormat="1"/>
    <xf numFmtId="170" fontId="0" fillId="0" borderId="0" xfId="0" applyNumberFormat="1"/>
    <xf numFmtId="168" fontId="0" fillId="3" borderId="0" xfId="2" applyNumberFormat="1" applyFont="1" applyFill="1" applyBorder="1" applyProtection="1"/>
    <xf numFmtId="0" fontId="0" fillId="0" borderId="1" xfId="0" applyBorder="1"/>
    <xf numFmtId="167" fontId="0" fillId="0" borderId="3" xfId="0" applyNumberFormat="1" applyBorder="1"/>
    <xf numFmtId="0" fontId="0" fillId="0" borderId="4" xfId="0" applyBorder="1" applyAlignment="1">
      <alignment horizontal="left" indent="1"/>
    </xf>
    <xf numFmtId="4" fontId="0" fillId="0" borderId="3" xfId="0" applyNumberFormat="1" applyBorder="1"/>
    <xf numFmtId="3" fontId="0" fillId="0" borderId="3" xfId="0" applyNumberFormat="1" applyBorder="1"/>
    <xf numFmtId="0" fontId="0" fillId="0" borderId="3" xfId="0" applyBorder="1"/>
    <xf numFmtId="3" fontId="0" fillId="2" borderId="3" xfId="0" applyNumberFormat="1" applyFill="1" applyBorder="1" applyProtection="1">
      <protection locked="0"/>
    </xf>
    <xf numFmtId="168" fontId="0" fillId="0" borderId="3" xfId="2" applyNumberFormat="1" applyFont="1" applyBorder="1" applyProtection="1"/>
    <xf numFmtId="168" fontId="0" fillId="0" borderId="5" xfId="2" applyNumberFormat="1" applyFont="1" applyBorder="1" applyProtection="1"/>
    <xf numFmtId="0" fontId="0" fillId="0" borderId="6" xfId="0" applyBorder="1" applyAlignment="1">
      <alignment horizontal="left" indent="1"/>
    </xf>
    <xf numFmtId="169" fontId="0" fillId="2" borderId="3" xfId="1" applyNumberFormat="1" applyFon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1" fillId="0" borderId="1" xfId="0" applyFont="1" applyBorder="1"/>
    <xf numFmtId="0" fontId="0" fillId="0" borderId="3" xfId="0" applyBorder="1" applyAlignment="1">
      <alignment horizontal="left" indent="1"/>
    </xf>
    <xf numFmtId="0" fontId="0" fillId="0" borderId="5" xfId="0" applyBorder="1" applyAlignment="1">
      <alignment horizontal="left" indent="1"/>
    </xf>
    <xf numFmtId="168" fontId="1" fillId="0" borderId="4" xfId="2" applyNumberFormat="1" applyFont="1" applyBorder="1" applyProtection="1"/>
    <xf numFmtId="16" fontId="0" fillId="0" borderId="3" xfId="0" applyNumberFormat="1" applyBorder="1" applyAlignment="1">
      <alignment horizontal="left" indent="1"/>
    </xf>
    <xf numFmtId="16" fontId="0" fillId="0" borderId="5" xfId="0" applyNumberFormat="1" applyBorder="1" applyAlignment="1">
      <alignment horizontal="left" indent="1"/>
    </xf>
    <xf numFmtId="168" fontId="1" fillId="0" borderId="6" xfId="2" applyNumberFormat="1" applyFont="1" applyBorder="1" applyProtection="1"/>
    <xf numFmtId="0" fontId="1" fillId="0" borderId="7" xfId="0" applyFont="1" applyBorder="1"/>
    <xf numFmtId="0" fontId="0" fillId="0" borderId="8" xfId="0" applyBorder="1"/>
    <xf numFmtId="165" fontId="0" fillId="0" borderId="0" xfId="0" applyNumberFormat="1"/>
    <xf numFmtId="3" fontId="0" fillId="2" borderId="0" xfId="0" applyNumberFormat="1" applyFill="1" applyProtection="1">
      <protection locked="0"/>
    </xf>
    <xf numFmtId="0" fontId="2" fillId="0" borderId="3" xfId="0" applyFont="1" applyBorder="1" applyAlignment="1">
      <alignment horizontal="left" indent="3"/>
    </xf>
    <xf numFmtId="3" fontId="0" fillId="4" borderId="0" xfId="0" applyNumberFormat="1" applyFill="1"/>
    <xf numFmtId="0" fontId="0" fillId="4" borderId="0" xfId="0" applyFill="1" applyAlignment="1">
      <alignment horizontal="left" indent="1"/>
    </xf>
    <xf numFmtId="0" fontId="0" fillId="4" borderId="0" xfId="0" applyFill="1"/>
    <xf numFmtId="0" fontId="0" fillId="4" borderId="0" xfId="0" quotePrefix="1" applyFill="1"/>
    <xf numFmtId="166" fontId="0" fillId="4" borderId="0" xfId="0" applyNumberFormat="1" applyFill="1" applyAlignment="1">
      <alignment horizontal="center"/>
    </xf>
    <xf numFmtId="0" fontId="1" fillId="4" borderId="0" xfId="0" applyFont="1" applyFill="1" applyAlignment="1">
      <alignment horizontal="right" indent="1"/>
    </xf>
    <xf numFmtId="0" fontId="1" fillId="4" borderId="9" xfId="0" applyFont="1" applyFill="1" applyBorder="1"/>
    <xf numFmtId="0" fontId="0" fillId="4" borderId="9" xfId="0" applyFill="1" applyBorder="1"/>
    <xf numFmtId="0" fontId="0" fillId="4" borderId="9" xfId="0" applyFill="1" applyBorder="1" applyAlignment="1">
      <alignment horizontal="left" indent="1"/>
    </xf>
    <xf numFmtId="0" fontId="0" fillId="4" borderId="4" xfId="0" applyFill="1" applyBorder="1" applyAlignment="1">
      <alignment horizontal="left" indent="1"/>
    </xf>
    <xf numFmtId="168" fontId="0" fillId="3" borderId="10" xfId="2" applyNumberFormat="1" applyFont="1" applyFill="1" applyBorder="1" applyProtection="1"/>
    <xf numFmtId="0" fontId="5" fillId="4" borderId="3" xfId="0" applyFont="1" applyFill="1" applyBorder="1"/>
    <xf numFmtId="3" fontId="0" fillId="2" borderId="10" xfId="0" applyNumberFormat="1" applyFill="1" applyBorder="1" applyProtection="1">
      <protection locked="0"/>
    </xf>
    <xf numFmtId="167" fontId="0" fillId="0" borderId="5" xfId="0" applyNumberFormat="1" applyBorder="1"/>
    <xf numFmtId="4" fontId="0" fillId="0" borderId="5" xfId="0" applyNumberFormat="1" applyBorder="1"/>
    <xf numFmtId="3" fontId="0" fillId="0" borderId="1" xfId="0" applyNumberFormat="1" applyBorder="1"/>
    <xf numFmtId="0" fontId="2" fillId="0" borderId="5" xfId="0" applyFont="1" applyBorder="1" applyAlignment="1">
      <alignment horizontal="left" indent="3"/>
    </xf>
    <xf numFmtId="3" fontId="0" fillId="0" borderId="5" xfId="0" applyNumberFormat="1" applyBorder="1"/>
    <xf numFmtId="0" fontId="0" fillId="4" borderId="11" xfId="0" applyFill="1" applyBorder="1"/>
    <xf numFmtId="0" fontId="1" fillId="4" borderId="0" xfId="0" applyFont="1" applyFill="1" applyAlignment="1">
      <alignment horizontal="center"/>
    </xf>
    <xf numFmtId="0" fontId="6" fillId="0" borderId="2" xfId="0" applyFont="1" applyBorder="1"/>
    <xf numFmtId="0" fontId="2" fillId="0" borderId="4" xfId="0" applyFont="1" applyBorder="1" applyAlignment="1">
      <alignment horizontal="left" indent="1"/>
    </xf>
    <xf numFmtId="0" fontId="2" fillId="0" borderId="6" xfId="0" applyFont="1" applyBorder="1" applyAlignment="1">
      <alignment horizontal="left" indent="1"/>
    </xf>
    <xf numFmtId="0" fontId="2" fillId="4" borderId="11" xfId="0" applyFont="1" applyFill="1" applyBorder="1" applyAlignment="1">
      <alignment horizontal="left" indent="1"/>
    </xf>
    <xf numFmtId="0" fontId="2" fillId="0" borderId="2" xfId="0" applyFont="1" applyBorder="1" applyAlignment="1">
      <alignment horizontal="left" indent="1"/>
    </xf>
    <xf numFmtId="0" fontId="2" fillId="0" borderId="4" xfId="0" applyFont="1" applyBorder="1"/>
    <xf numFmtId="3" fontId="0" fillId="0" borderId="3" xfId="0" applyNumberFormat="1" applyBorder="1" applyProtection="1">
      <protection locked="0"/>
    </xf>
    <xf numFmtId="0" fontId="4" fillId="0" borderId="7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</cellXfs>
  <cellStyles count="3">
    <cellStyle name="Currency" xfId="2" builtinId="4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2F251-F03A-4D18-B7A4-02FF0F251FDE}">
  <sheetPr codeName="Sheet2"/>
  <dimension ref="B1:M66"/>
  <sheetViews>
    <sheetView tabSelected="1" zoomScaleNormal="100" workbookViewId="0">
      <pane ySplit="19" topLeftCell="A20" activePane="bottomLeft" state="frozen"/>
      <selection pane="bottomLeft" activeCell="C29" sqref="C29"/>
    </sheetView>
  </sheetViews>
  <sheetFormatPr defaultRowHeight="15" outlineLevelRow="1" x14ac:dyDescent="0.25"/>
  <cols>
    <col min="1" max="1" width="9.140625" style="32"/>
    <col min="2" max="2" width="61" style="32" customWidth="1"/>
    <col min="3" max="3" width="10.85546875" style="32" bestFit="1" customWidth="1"/>
    <col min="4" max="4" width="17.7109375" style="32" bestFit="1" customWidth="1"/>
    <col min="5" max="5" width="4.5703125" style="32" customWidth="1"/>
    <col min="6" max="6" width="10" style="32" bestFit="1" customWidth="1"/>
    <col min="7" max="7" width="11.5703125" style="32" bestFit="1" customWidth="1"/>
    <col min="8" max="14" width="9.140625" style="32"/>
    <col min="15" max="15" width="35.85546875" style="32" customWidth="1"/>
    <col min="16" max="16" width="12.5703125" style="32" bestFit="1" customWidth="1"/>
    <col min="17" max="18" width="10" style="32" bestFit="1" customWidth="1"/>
    <col min="19" max="16384" width="9.140625" style="32"/>
  </cols>
  <sheetData>
    <row r="1" spans="2:13" ht="19.5" thickBot="1" x14ac:dyDescent="0.35">
      <c r="B1" s="57" t="s">
        <v>8</v>
      </c>
      <c r="C1" s="58"/>
      <c r="D1" s="58"/>
      <c r="E1" s="58"/>
      <c r="F1" s="58"/>
      <c r="G1" s="59"/>
    </row>
    <row r="2" spans="2:13" ht="15.75" thickBot="1" x14ac:dyDescent="0.3">
      <c r="B2" s="36"/>
      <c r="C2" s="37"/>
      <c r="D2" s="38"/>
      <c r="E2" s="38"/>
      <c r="F2" s="37"/>
      <c r="G2" s="37"/>
    </row>
    <row r="3" spans="2:13" ht="15.75" hidden="1" outlineLevel="1" thickBot="1" x14ac:dyDescent="0.3">
      <c r="B3" s="60" t="s">
        <v>0</v>
      </c>
      <c r="C3" s="61"/>
      <c r="D3" s="62"/>
      <c r="E3" s="31"/>
    </row>
    <row r="4" spans="2:13" hidden="1" outlineLevel="1" x14ac:dyDescent="0.25">
      <c r="B4" s="41" t="s">
        <v>76</v>
      </c>
      <c r="D4" s="39"/>
      <c r="E4" s="31"/>
    </row>
    <row r="5" spans="2:13" hidden="1" outlineLevel="1" x14ac:dyDescent="0.25">
      <c r="B5" s="19" t="s">
        <v>20</v>
      </c>
      <c r="C5" s="27">
        <v>7.4999999999999997E-2</v>
      </c>
      <c r="D5" s="8" t="s">
        <v>35</v>
      </c>
      <c r="E5" s="31"/>
      <c r="M5" s="33"/>
    </row>
    <row r="6" spans="2:13" hidden="1" outlineLevel="1" x14ac:dyDescent="0.25">
      <c r="B6" s="19" t="s">
        <v>21</v>
      </c>
      <c r="C6" s="1">
        <v>100</v>
      </c>
      <c r="D6" s="8" t="s">
        <v>14</v>
      </c>
      <c r="E6" s="31"/>
      <c r="M6" s="33"/>
    </row>
    <row r="7" spans="2:13" hidden="1" outlineLevel="1" x14ac:dyDescent="0.25">
      <c r="B7" s="19" t="s">
        <v>22</v>
      </c>
      <c r="C7" s="1">
        <v>10000</v>
      </c>
      <c r="D7" s="8" t="s">
        <v>15</v>
      </c>
      <c r="E7" s="31"/>
    </row>
    <row r="8" spans="2:13" hidden="1" outlineLevel="1" x14ac:dyDescent="0.25">
      <c r="B8" s="19" t="s">
        <v>23</v>
      </c>
      <c r="C8" s="1">
        <v>1000</v>
      </c>
      <c r="D8" s="8" t="s">
        <v>16</v>
      </c>
      <c r="E8" s="31"/>
    </row>
    <row r="9" spans="2:13" hidden="1" outlineLevel="1" x14ac:dyDescent="0.25">
      <c r="B9" s="19" t="s">
        <v>81</v>
      </c>
      <c r="C9" s="1">
        <v>1000</v>
      </c>
      <c r="D9" s="8" t="s">
        <v>17</v>
      </c>
      <c r="E9" s="31"/>
    </row>
    <row r="10" spans="2:13" hidden="1" outlineLevel="1" x14ac:dyDescent="0.25">
      <c r="B10" s="19" t="s">
        <v>24</v>
      </c>
      <c r="C10" s="1">
        <f>24*60*60</f>
        <v>86400</v>
      </c>
      <c r="D10" s="8" t="s">
        <v>18</v>
      </c>
      <c r="E10" s="31"/>
    </row>
    <row r="11" spans="2:13" hidden="1" outlineLevel="1" x14ac:dyDescent="0.25">
      <c r="B11" s="19" t="s">
        <v>36</v>
      </c>
      <c r="C11" s="5">
        <v>260</v>
      </c>
      <c r="D11" s="8" t="s">
        <v>19</v>
      </c>
      <c r="E11" s="31"/>
    </row>
    <row r="12" spans="2:13" ht="15.75" hidden="1" outlineLevel="1" thickBot="1" x14ac:dyDescent="0.3">
      <c r="B12" s="20" t="s">
        <v>1</v>
      </c>
      <c r="C12" s="40">
        <v>60</v>
      </c>
      <c r="D12" s="15" t="s">
        <v>19</v>
      </c>
      <c r="E12" s="31"/>
    </row>
    <row r="13" spans="2:13" ht="15.75" hidden="1" outlineLevel="1" thickBot="1" x14ac:dyDescent="0.3">
      <c r="C13" s="30"/>
      <c r="D13" s="31"/>
      <c r="E13" s="31"/>
    </row>
    <row r="14" spans="2:13" ht="15.75" collapsed="1" thickBot="1" x14ac:dyDescent="0.3">
      <c r="B14" s="60" t="s">
        <v>9</v>
      </c>
      <c r="C14" s="61"/>
      <c r="D14" s="62"/>
      <c r="E14" s="31"/>
    </row>
    <row r="15" spans="2:13" x14ac:dyDescent="0.25">
      <c r="B15" s="19" t="s">
        <v>38</v>
      </c>
      <c r="C15" s="28">
        <v>200</v>
      </c>
      <c r="D15" s="8" t="s">
        <v>37</v>
      </c>
      <c r="E15" s="31"/>
    </row>
    <row r="16" spans="2:13" x14ac:dyDescent="0.25">
      <c r="B16" s="19" t="s">
        <v>10</v>
      </c>
      <c r="C16" s="28">
        <v>1400</v>
      </c>
      <c r="D16" s="8" t="s">
        <v>26</v>
      </c>
      <c r="E16" s="31"/>
      <c r="G16" s="31"/>
    </row>
    <row r="17" spans="2:7" ht="15.75" thickBot="1" x14ac:dyDescent="0.3">
      <c r="B17" s="20" t="s">
        <v>39</v>
      </c>
      <c r="C17" s="42">
        <v>0</v>
      </c>
      <c r="D17" s="15" t="s">
        <v>30</v>
      </c>
      <c r="E17" s="31"/>
      <c r="G17" s="31"/>
    </row>
    <row r="18" spans="2:7" ht="15.75" thickBot="1" x14ac:dyDescent="0.3">
      <c r="E18" s="31"/>
      <c r="G18" s="31"/>
    </row>
    <row r="19" spans="2:7" ht="15.75" thickBot="1" x14ac:dyDescent="0.3">
      <c r="C19" s="63" t="s">
        <v>71</v>
      </c>
      <c r="D19" s="64"/>
      <c r="E19" s="31"/>
      <c r="F19" s="63" t="s">
        <v>72</v>
      </c>
      <c r="G19" s="64"/>
    </row>
    <row r="20" spans="2:7" x14ac:dyDescent="0.25">
      <c r="B20" s="18" t="s">
        <v>25</v>
      </c>
      <c r="C20" s="18"/>
      <c r="D20" s="50"/>
      <c r="E20" s="49"/>
      <c r="F20" s="18"/>
      <c r="G20" s="50"/>
    </row>
    <row r="21" spans="2:7" x14ac:dyDescent="0.25">
      <c r="B21" s="19" t="s">
        <v>42</v>
      </c>
      <c r="C21" s="7">
        <f>$F$23*$C$9*$C$10/$C$7/$C$8</f>
        <v>4.5359999999999996</v>
      </c>
      <c r="D21" s="51" t="s">
        <v>31</v>
      </c>
      <c r="E21" s="31"/>
      <c r="F21" s="11"/>
      <c r="G21" s="55"/>
    </row>
    <row r="22" spans="2:7" x14ac:dyDescent="0.25">
      <c r="B22" s="19" t="s">
        <v>40</v>
      </c>
      <c r="C22" s="10">
        <f>F22*$C$15</f>
        <v>1400</v>
      </c>
      <c r="D22" s="51" t="s">
        <v>26</v>
      </c>
      <c r="E22" s="31"/>
      <c r="F22" s="7">
        <f>$C$16/$C$15</f>
        <v>7</v>
      </c>
      <c r="G22" s="51" t="s">
        <v>34</v>
      </c>
    </row>
    <row r="23" spans="2:7" x14ac:dyDescent="0.25">
      <c r="B23" s="19" t="s">
        <v>41</v>
      </c>
      <c r="C23" s="11">
        <f>F23*$C$15</f>
        <v>105</v>
      </c>
      <c r="D23" s="51" t="s">
        <v>13</v>
      </c>
      <c r="E23" s="31"/>
      <c r="F23" s="9">
        <f>$F$22*$C$5</f>
        <v>0.52500000000000002</v>
      </c>
      <c r="G23" s="51" t="s">
        <v>27</v>
      </c>
    </row>
    <row r="24" spans="2:7" x14ac:dyDescent="0.25">
      <c r="B24" s="19" t="s">
        <v>33</v>
      </c>
      <c r="C24" s="10">
        <f>F24*$C$15</f>
        <v>9072</v>
      </c>
      <c r="D24" s="51" t="s">
        <v>28</v>
      </c>
      <c r="E24" s="31"/>
      <c r="F24" s="7">
        <f>$F$23*$C$10/$C$8</f>
        <v>45.36</v>
      </c>
      <c r="G24" s="51" t="s">
        <v>32</v>
      </c>
    </row>
    <row r="25" spans="2:7" x14ac:dyDescent="0.25">
      <c r="B25" s="19" t="s">
        <v>39</v>
      </c>
      <c r="C25" s="10">
        <f>F25*$C$15</f>
        <v>0</v>
      </c>
      <c r="D25" s="51" t="s">
        <v>30</v>
      </c>
      <c r="E25" s="31"/>
      <c r="F25" s="10">
        <f>C17/$C$15</f>
        <v>0</v>
      </c>
      <c r="G25" s="51" t="s">
        <v>29</v>
      </c>
    </row>
    <row r="26" spans="2:7" ht="15.75" thickBot="1" x14ac:dyDescent="0.3">
      <c r="B26" s="20" t="s">
        <v>60</v>
      </c>
      <c r="C26" s="43">
        <f>$C$25/$C$24</f>
        <v>0</v>
      </c>
      <c r="D26" s="52" t="s">
        <v>59</v>
      </c>
      <c r="E26" s="31"/>
      <c r="F26" s="44"/>
      <c r="G26" s="52"/>
    </row>
    <row r="27" spans="2:7" ht="15.75" thickBot="1" x14ac:dyDescent="0.3">
      <c r="B27" s="48"/>
      <c r="C27" s="48"/>
      <c r="D27" s="53"/>
      <c r="E27" s="31"/>
      <c r="F27" s="48"/>
      <c r="G27" s="53"/>
    </row>
    <row r="28" spans="2:7" x14ac:dyDescent="0.25">
      <c r="B28" s="18" t="s">
        <v>11</v>
      </c>
      <c r="C28" s="6"/>
      <c r="D28" s="54"/>
      <c r="E28" s="31"/>
      <c r="F28" s="45"/>
      <c r="G28" s="54"/>
    </row>
    <row r="29" spans="2:7" ht="15.75" thickBot="1" x14ac:dyDescent="0.3">
      <c r="B29" s="19" t="s">
        <v>2</v>
      </c>
      <c r="C29" s="12">
        <v>11.022927689594356</v>
      </c>
      <c r="D29" s="51" t="s">
        <v>59</v>
      </c>
      <c r="E29" s="31"/>
      <c r="F29" s="11"/>
      <c r="G29" s="51"/>
    </row>
    <row r="30" spans="2:7" hidden="1" outlineLevel="1" x14ac:dyDescent="0.25">
      <c r="B30" s="29" t="s">
        <v>61</v>
      </c>
      <c r="C30" s="7">
        <f>MAX(0,C29-$C$26)</f>
        <v>11.022927689594356</v>
      </c>
      <c r="D30" s="51" t="s">
        <v>59</v>
      </c>
      <c r="E30" s="31"/>
      <c r="F30" s="11"/>
      <c r="G30" s="55"/>
    </row>
    <row r="31" spans="2:7" ht="15.75" hidden="1" outlineLevel="1" thickBot="1" x14ac:dyDescent="0.3">
      <c r="B31" s="46" t="s">
        <v>58</v>
      </c>
      <c r="C31" s="47">
        <f>F31*$C$15</f>
        <v>100000</v>
      </c>
      <c r="D31" s="52" t="s">
        <v>30</v>
      </c>
      <c r="E31" s="31"/>
      <c r="F31" s="47">
        <f>$C$30*$F$24</f>
        <v>500</v>
      </c>
      <c r="G31" s="52" t="s">
        <v>29</v>
      </c>
    </row>
    <row r="32" spans="2:7" ht="15.75" collapsed="1" thickBot="1" x14ac:dyDescent="0.3">
      <c r="B32" s="48"/>
      <c r="C32" s="48"/>
      <c r="D32" s="53"/>
      <c r="E32" s="31"/>
      <c r="F32" s="48"/>
      <c r="G32" s="53"/>
    </row>
    <row r="33" spans="2:7" x14ac:dyDescent="0.25">
      <c r="B33" s="18" t="s">
        <v>12</v>
      </c>
      <c r="C33" s="6"/>
      <c r="D33" s="54"/>
      <c r="E33" s="31"/>
      <c r="F33" s="45"/>
      <c r="G33" s="54"/>
    </row>
    <row r="34" spans="2:7" ht="15.75" thickBot="1" x14ac:dyDescent="0.3">
      <c r="B34" s="19" t="s">
        <v>79</v>
      </c>
      <c r="C34" s="16">
        <v>0.93101458999999998</v>
      </c>
      <c r="D34" s="51"/>
      <c r="E34" s="31"/>
      <c r="F34" s="11"/>
      <c r="G34" s="51"/>
    </row>
    <row r="35" spans="2:7" hidden="1" outlineLevel="1" x14ac:dyDescent="0.25">
      <c r="B35" s="29" t="s">
        <v>62</v>
      </c>
      <c r="C35" s="10">
        <f>F35*$C$15</f>
        <v>99999.999999999942</v>
      </c>
      <c r="D35" s="51" t="s">
        <v>30</v>
      </c>
      <c r="E35" s="31"/>
      <c r="F35" s="10">
        <f>reliability_table!$F$9</f>
        <v>499.99999999999972</v>
      </c>
      <c r="G35" s="51" t="s">
        <v>29</v>
      </c>
    </row>
    <row r="36" spans="2:7" ht="15.75" hidden="1" outlineLevel="1" thickBot="1" x14ac:dyDescent="0.3">
      <c r="B36" s="46" t="s">
        <v>58</v>
      </c>
      <c r="C36" s="47">
        <f>F36*$C$15</f>
        <v>99999.999999999942</v>
      </c>
      <c r="D36" s="52" t="s">
        <v>30</v>
      </c>
      <c r="E36" s="31"/>
      <c r="F36" s="47">
        <f>MAX(0,F35-$F$25)</f>
        <v>499.99999999999972</v>
      </c>
      <c r="G36" s="52" t="s">
        <v>29</v>
      </c>
    </row>
    <row r="37" spans="2:7" ht="15.75" collapsed="1" thickBot="1" x14ac:dyDescent="0.3">
      <c r="B37" s="48"/>
      <c r="C37" s="48"/>
      <c r="D37" s="53"/>
      <c r="E37" s="31"/>
      <c r="F37" s="48"/>
      <c r="G37" s="53"/>
    </row>
    <row r="38" spans="2:7" x14ac:dyDescent="0.25">
      <c r="B38" s="18" t="s">
        <v>64</v>
      </c>
      <c r="C38" s="6"/>
      <c r="D38" s="54"/>
      <c r="E38" s="31"/>
      <c r="F38" s="45"/>
      <c r="G38" s="54"/>
    </row>
    <row r="39" spans="2:7" ht="15.75" thickBot="1" x14ac:dyDescent="0.3">
      <c r="B39" s="19" t="s">
        <v>77</v>
      </c>
      <c r="C39" s="10">
        <f>F39*$C$15</f>
        <v>100000</v>
      </c>
      <c r="D39" s="51" t="s">
        <v>30</v>
      </c>
      <c r="E39" s="31"/>
      <c r="F39" s="12">
        <v>500</v>
      </c>
      <c r="G39" s="51" t="s">
        <v>29</v>
      </c>
    </row>
    <row r="40" spans="2:7" ht="15.75" hidden="1" outlineLevel="1" thickBot="1" x14ac:dyDescent="0.3">
      <c r="B40" s="46" t="s">
        <v>58</v>
      </c>
      <c r="C40" s="47">
        <f>F40*$C$15</f>
        <v>100000</v>
      </c>
      <c r="D40" s="52" t="s">
        <v>30</v>
      </c>
      <c r="E40" s="31"/>
      <c r="F40" s="47">
        <f>MAX(0,$F$39-$F$25)</f>
        <v>500</v>
      </c>
      <c r="G40" s="52" t="s">
        <v>29</v>
      </c>
    </row>
    <row r="41" spans="2:7" ht="15.75" collapsed="1" thickBot="1" x14ac:dyDescent="0.3">
      <c r="B41" s="48"/>
      <c r="C41" s="48"/>
      <c r="D41" s="53"/>
      <c r="E41" s="31"/>
      <c r="F41" s="48"/>
      <c r="G41" s="53"/>
    </row>
    <row r="42" spans="2:7" x14ac:dyDescent="0.25">
      <c r="B42" s="18" t="s">
        <v>65</v>
      </c>
      <c r="C42" s="6"/>
      <c r="D42" s="54"/>
      <c r="E42" s="31"/>
      <c r="F42" s="45"/>
      <c r="G42" s="54"/>
    </row>
    <row r="43" spans="2:7" ht="15.75" thickBot="1" x14ac:dyDescent="0.3">
      <c r="B43" s="19" t="s">
        <v>78</v>
      </c>
      <c r="C43" s="12">
        <v>99999.999999999942</v>
      </c>
      <c r="D43" s="51" t="s">
        <v>30</v>
      </c>
      <c r="E43" s="31"/>
      <c r="F43" s="10">
        <f>C43/$C$15</f>
        <v>499.99999999999972</v>
      </c>
      <c r="G43" s="51" t="s">
        <v>29</v>
      </c>
    </row>
    <row r="44" spans="2:7" ht="15.75" hidden="1" outlineLevel="1" thickBot="1" x14ac:dyDescent="0.3">
      <c r="B44" s="46" t="s">
        <v>58</v>
      </c>
      <c r="C44" s="47">
        <f>F44*$C$15</f>
        <v>99999.999999999942</v>
      </c>
      <c r="D44" s="52" t="s">
        <v>30</v>
      </c>
      <c r="E44" s="31"/>
      <c r="F44" s="47">
        <f>MAX(0,$F$43-$F$25)</f>
        <v>499.99999999999972</v>
      </c>
      <c r="G44" s="52" t="s">
        <v>29</v>
      </c>
    </row>
    <row r="45" spans="2:7" ht="15.75" collapsed="1" thickBot="1" x14ac:dyDescent="0.3">
      <c r="B45" s="48"/>
      <c r="C45" s="48"/>
      <c r="D45" s="53"/>
      <c r="E45" s="31"/>
      <c r="F45" s="48"/>
      <c r="G45" s="53"/>
    </row>
    <row r="46" spans="2:7" x14ac:dyDescent="0.25">
      <c r="B46" s="18" t="s">
        <v>66</v>
      </c>
      <c r="C46" s="6"/>
      <c r="D46" s="54"/>
      <c r="E46" s="31"/>
      <c r="F46" s="45"/>
      <c r="G46" s="54"/>
    </row>
    <row r="47" spans="2:7" ht="15.75" thickBot="1" x14ac:dyDescent="0.3">
      <c r="B47" s="19" t="s">
        <v>73</v>
      </c>
      <c r="C47" s="17">
        <v>49.999999999999972</v>
      </c>
      <c r="D47" s="51" t="s">
        <v>63</v>
      </c>
      <c r="E47" s="31"/>
      <c r="F47" s="11"/>
      <c r="G47" s="55"/>
    </row>
    <row r="48" spans="2:7" ht="15.75" hidden="1" outlineLevel="1" thickBot="1" x14ac:dyDescent="0.3">
      <c r="B48" s="46" t="s">
        <v>58</v>
      </c>
      <c r="C48" s="47">
        <f>MAX(0,($C$47/$C$21)*$C$24-$C$25)</f>
        <v>99999.999999999956</v>
      </c>
      <c r="D48" s="52" t="s">
        <v>30</v>
      </c>
      <c r="E48" s="31"/>
      <c r="F48" s="47">
        <f>$C$48/$C$15</f>
        <v>499.99999999999977</v>
      </c>
      <c r="G48" s="52" t="s">
        <v>29</v>
      </c>
    </row>
    <row r="49" spans="2:7" ht="15.75" collapsed="1" thickBot="1" x14ac:dyDescent="0.3">
      <c r="B49" s="48"/>
      <c r="C49" s="48"/>
      <c r="D49" s="53"/>
      <c r="E49" s="31"/>
      <c r="F49" s="48"/>
      <c r="G49" s="53"/>
    </row>
    <row r="50" spans="2:7" x14ac:dyDescent="0.25">
      <c r="B50" s="18" t="s">
        <v>67</v>
      </c>
      <c r="C50" s="6"/>
      <c r="D50" s="54"/>
      <c r="E50" s="31"/>
      <c r="F50" s="45"/>
      <c r="G50" s="54"/>
    </row>
    <row r="51" spans="2:7" ht="15.75" thickBot="1" x14ac:dyDescent="0.3">
      <c r="B51" s="19" t="s">
        <v>7</v>
      </c>
      <c r="C51" s="12">
        <v>999.99999999999955</v>
      </c>
      <c r="D51" s="51" t="s">
        <v>26</v>
      </c>
      <c r="E51" s="31"/>
      <c r="F51" s="11"/>
      <c r="G51" s="55"/>
    </row>
    <row r="52" spans="2:7" ht="15.75" hidden="1" outlineLevel="1" thickBot="1" x14ac:dyDescent="0.3">
      <c r="B52" s="46" t="s">
        <v>44</v>
      </c>
      <c r="C52" s="47">
        <f>$C$51*$C$6</f>
        <v>99999.999999999956</v>
      </c>
      <c r="D52" s="52" t="s">
        <v>30</v>
      </c>
      <c r="E52" s="31"/>
      <c r="F52" s="47">
        <f>$C$52/$C$15</f>
        <v>499.99999999999977</v>
      </c>
      <c r="G52" s="52" t="s">
        <v>29</v>
      </c>
    </row>
    <row r="53" spans="2:7" ht="15.75" collapsed="1" thickBot="1" x14ac:dyDescent="0.3">
      <c r="B53" s="48"/>
      <c r="C53" s="48"/>
      <c r="D53" s="53"/>
      <c r="E53" s="31"/>
      <c r="F53" s="48"/>
      <c r="G53" s="53"/>
    </row>
    <row r="54" spans="2:7" x14ac:dyDescent="0.25">
      <c r="B54" s="18" t="s">
        <v>80</v>
      </c>
      <c r="C54" s="6"/>
      <c r="D54" s="54"/>
      <c r="E54" s="31"/>
      <c r="F54" s="6"/>
      <c r="G54" s="54"/>
    </row>
    <row r="55" spans="2:7" x14ac:dyDescent="0.25">
      <c r="B55" s="19" t="s">
        <v>55</v>
      </c>
      <c r="C55" s="10">
        <f>F55*$C$15</f>
        <v>99999.999999999956</v>
      </c>
      <c r="D55" s="51" t="s">
        <v>30</v>
      </c>
      <c r="E55" s="31"/>
      <c r="F55" s="56">
        <v>499.99999999999977</v>
      </c>
      <c r="G55" s="51" t="s">
        <v>29</v>
      </c>
    </row>
    <row r="56" spans="2:7" x14ac:dyDescent="0.25">
      <c r="B56" s="19" t="s">
        <v>3</v>
      </c>
      <c r="C56" s="10">
        <f>$C$55/$C$6</f>
        <v>999.99999999999955</v>
      </c>
      <c r="D56" s="51" t="s">
        <v>26</v>
      </c>
      <c r="E56" s="31"/>
      <c r="F56" s="10">
        <f>$C56/$C$15</f>
        <v>4.9999999999999973</v>
      </c>
      <c r="G56" s="51" t="s">
        <v>34</v>
      </c>
    </row>
    <row r="57" spans="2:7" x14ac:dyDescent="0.25">
      <c r="B57" s="19" t="s">
        <v>6</v>
      </c>
      <c r="C57" s="13">
        <f>$C$56*C$12</f>
        <v>59999.999999999971</v>
      </c>
      <c r="D57" s="51" t="s">
        <v>74</v>
      </c>
      <c r="E57" s="31"/>
      <c r="F57" s="13">
        <f>$C57/$C$15</f>
        <v>299.99999999999983</v>
      </c>
      <c r="G57" s="51" t="s">
        <v>57</v>
      </c>
    </row>
    <row r="58" spans="2:7" ht="15.75" thickBot="1" x14ac:dyDescent="0.3">
      <c r="B58" s="20" t="s">
        <v>56</v>
      </c>
      <c r="C58" s="14">
        <f>C56*C$11</f>
        <v>259999.99999999988</v>
      </c>
      <c r="D58" s="52" t="s">
        <v>74</v>
      </c>
      <c r="E58" s="31"/>
      <c r="F58" s="14">
        <f>$C58/$C$15</f>
        <v>1299.9999999999993</v>
      </c>
      <c r="G58" s="52" t="s">
        <v>57</v>
      </c>
    </row>
    <row r="59" spans="2:7" ht="15.75" thickBot="1" x14ac:dyDescent="0.3"/>
    <row r="60" spans="2:7" ht="15.75" thickBot="1" x14ac:dyDescent="0.3">
      <c r="B60" s="25" t="s">
        <v>75</v>
      </c>
      <c r="C60" s="26"/>
    </row>
    <row r="61" spans="2:7" x14ac:dyDescent="0.25">
      <c r="B61" s="19" t="s">
        <v>4</v>
      </c>
      <c r="C61" s="21">
        <f>$C$58/3</f>
        <v>86666.666666666628</v>
      </c>
    </row>
    <row r="62" spans="2:7" x14ac:dyDescent="0.25">
      <c r="B62" s="22" t="s">
        <v>5</v>
      </c>
      <c r="C62" s="21">
        <f>$C$58/3</f>
        <v>86666.666666666628</v>
      </c>
    </row>
    <row r="63" spans="2:7" ht="15.75" thickBot="1" x14ac:dyDescent="0.3">
      <c r="B63" s="23" t="s">
        <v>5</v>
      </c>
      <c r="C63" s="24">
        <f>$C$58/3</f>
        <v>86666.666666666628</v>
      </c>
    </row>
    <row r="64" spans="2:7" x14ac:dyDescent="0.25">
      <c r="B64" s="35"/>
      <c r="D64" s="31"/>
      <c r="E64" s="31"/>
    </row>
    <row r="65" spans="2:8" x14ac:dyDescent="0.25">
      <c r="B65" s="35"/>
    </row>
    <row r="66" spans="2:8" x14ac:dyDescent="0.25">
      <c r="H66" s="34"/>
    </row>
  </sheetData>
  <sheetProtection sheet="1" selectLockedCells="1"/>
  <dataConsolidate/>
  <mergeCells count="5">
    <mergeCell ref="B1:G1"/>
    <mergeCell ref="B3:D3"/>
    <mergeCell ref="C19:D19"/>
    <mergeCell ref="F19:G19"/>
    <mergeCell ref="B14:D14"/>
  </mergeCells>
  <dataValidations count="3">
    <dataValidation type="decimal" operator="greaterThan" allowBlank="1" showErrorMessage="1" errorTitle="Irrigated area" error="You must enter a value greater than zero!" promptTitle="Irrigated area" prompt="Enter total irrigated area in hectares." sqref="C15" xr:uid="{D54003C8-89DE-45F7-AB08-663893DC630F}">
      <formula1>0</formula1>
    </dataValidation>
    <dataValidation type="decimal" operator="greaterThan" allowBlank="1" showErrorMessage="1" errorTitle="Shares" error="You must enter a value greater than zero!" sqref="C16" xr:uid="{D787ED99-BED8-4FB0-BD56-9DEE47B849E5}">
      <formula1>0</formula1>
    </dataValidation>
    <dataValidation type="decimal" operator="greaterThanOrEqual" allowBlank="1" showErrorMessage="1" errorTitle="On farm storage" error="You must enter a value greater than or equal to zero!" sqref="C17" xr:uid="{341A4429-38BE-4CDF-8973-7DB784D6C915}">
      <formula1>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07DBA-E150-4E94-830D-8486EA4F07F1}">
  <sheetPr codeName="Sheet3"/>
  <dimension ref="A1:I14"/>
  <sheetViews>
    <sheetView workbookViewId="0">
      <selection activeCell="I1" sqref="I1"/>
    </sheetView>
  </sheetViews>
  <sheetFormatPr defaultRowHeight="15" x14ac:dyDescent="0.25"/>
  <cols>
    <col min="1" max="1" width="15" bestFit="1" customWidth="1"/>
    <col min="5" max="5" width="33.140625" bestFit="1" customWidth="1"/>
    <col min="8" max="8" width="33.140625" bestFit="1" customWidth="1"/>
  </cols>
  <sheetData>
    <row r="1" spans="1:9" x14ac:dyDescent="0.25">
      <c r="A1" t="s">
        <v>43</v>
      </c>
      <c r="B1" t="s">
        <v>45</v>
      </c>
      <c r="E1" t="s">
        <v>52</v>
      </c>
      <c r="F1" s="3">
        <f>Farmers_linked!$C$34</f>
        <v>0.93101458999999998</v>
      </c>
      <c r="H1" t="s">
        <v>68</v>
      </c>
      <c r="I1" s="1">
        <f>Farmers_linked!$F$39</f>
        <v>500</v>
      </c>
    </row>
    <row r="2" spans="1:9" x14ac:dyDescent="0.25">
      <c r="A2">
        <v>0</v>
      </c>
      <c r="B2" s="2">
        <v>0.80237077000000001</v>
      </c>
      <c r="E2" t="s">
        <v>47</v>
      </c>
      <c r="F2">
        <f>IF($F$1&lt;$B$2,1,MATCH($F$1,$B$2:$B$14,1))</f>
        <v>3</v>
      </c>
      <c r="H2" t="s">
        <v>47</v>
      </c>
      <c r="I2">
        <f>IF($I$1&lt;$A$2,1,MATCH($I$1,$A$2:$A$14,1))</f>
        <v>3</v>
      </c>
    </row>
    <row r="3" spans="1:9" x14ac:dyDescent="0.25">
      <c r="A3">
        <v>200</v>
      </c>
      <c r="B3" s="2">
        <v>0.87819687999999996</v>
      </c>
      <c r="E3" t="s">
        <v>48</v>
      </c>
      <c r="F3">
        <f>IF($F$1&lt;$B$2,1,MIN($F$2+1,COUNT($B$2:$B$14)))</f>
        <v>4</v>
      </c>
      <c r="H3" t="s">
        <v>48</v>
      </c>
      <c r="I3">
        <f>IF($I$1&lt;$A$2,1,MIN($I$2+1,COUNT($A$2:$A$14)))</f>
        <v>4</v>
      </c>
    </row>
    <row r="4" spans="1:9" x14ac:dyDescent="0.25">
      <c r="A4">
        <v>400</v>
      </c>
      <c r="B4" s="2">
        <v>0.91274538999999999</v>
      </c>
      <c r="E4" t="s">
        <v>46</v>
      </c>
      <c r="F4" s="2" cm="1">
        <f t="array" ref="F4">INDEX($B$2:$B$14,$F$2)</f>
        <v>0.91274538999999999</v>
      </c>
      <c r="H4" t="s">
        <v>46</v>
      </c>
      <c r="I4" s="2" cm="1">
        <f t="array" ref="I4">INDEX($B$2:$B$14,$I$2)</f>
        <v>0.91274538999999999</v>
      </c>
    </row>
    <row r="5" spans="1:9" x14ac:dyDescent="0.25">
      <c r="A5">
        <v>600</v>
      </c>
      <c r="B5" s="2">
        <v>0.94928379000000007</v>
      </c>
      <c r="E5" t="s">
        <v>49</v>
      </c>
      <c r="F5" s="2" cm="1">
        <f t="array" ref="F5">INDEX($B$2:$B$14,$F$3)</f>
        <v>0.94928379000000007</v>
      </c>
      <c r="H5" t="s">
        <v>49</v>
      </c>
      <c r="I5" s="2" cm="1">
        <f t="array" ref="I5">INDEX($B$2:$B$14,$I$3)</f>
        <v>0.94928379000000007</v>
      </c>
    </row>
    <row r="6" spans="1:9" x14ac:dyDescent="0.25">
      <c r="A6">
        <v>700</v>
      </c>
      <c r="B6" s="2">
        <v>0.96046784000000007</v>
      </c>
      <c r="E6" t="s">
        <v>50</v>
      </c>
      <c r="F6" cm="1">
        <f t="array" ref="F6">INDEX($A$2:$A$14,$F$2)</f>
        <v>400</v>
      </c>
      <c r="H6" t="s">
        <v>50</v>
      </c>
      <c r="I6" cm="1">
        <f t="array" ref="I6">INDEX($A$2:$A$14,$I$2)</f>
        <v>400</v>
      </c>
    </row>
    <row r="7" spans="1:9" x14ac:dyDescent="0.25">
      <c r="A7">
        <v>800</v>
      </c>
      <c r="B7" s="2">
        <v>0.97057168000000005</v>
      </c>
      <c r="E7" t="s">
        <v>51</v>
      </c>
      <c r="F7" cm="1">
        <f t="array" ref="F7">INDEX($A$2:$A$14,$F$3)</f>
        <v>600</v>
      </c>
      <c r="H7" t="s">
        <v>51</v>
      </c>
      <c r="I7" cm="1">
        <f t="array" ref="I7">INDEX($A$2:$A$14,$I$3)</f>
        <v>600</v>
      </c>
    </row>
    <row r="8" spans="1:9" x14ac:dyDescent="0.25">
      <c r="A8">
        <v>900</v>
      </c>
      <c r="B8" s="2">
        <v>0.97549346000000003</v>
      </c>
      <c r="E8" t="s">
        <v>53</v>
      </c>
      <c r="F8" s="4">
        <f>IF(F2=F3,"-",($F$7-$F$6)/($F$5-$F$4))</f>
        <v>5473.6934293783952</v>
      </c>
      <c r="H8" t="s">
        <v>69</v>
      </c>
      <c r="I8" s="4">
        <f>IF(I2=I3,"-",($I$5-$I$4))/($I$7-$I$6)</f>
        <v>1.8269200000000041E-4</v>
      </c>
    </row>
    <row r="9" spans="1:9" x14ac:dyDescent="0.25">
      <c r="A9">
        <v>1000</v>
      </c>
      <c r="B9" s="2">
        <v>0.9799696</v>
      </c>
      <c r="E9" t="s">
        <v>54</v>
      </c>
      <c r="F9" s="4">
        <f>IF(F2=F3,$F$7,$F$8*($F$1-$F$4)+$F$6)</f>
        <v>499.99999999999972</v>
      </c>
      <c r="H9" t="s">
        <v>70</v>
      </c>
      <c r="I9" s="2">
        <f>IF(I2=I3,$I$5,$I$8*($I$1-$I$6)+$I$4)</f>
        <v>0.93101458999999998</v>
      </c>
    </row>
    <row r="10" spans="1:9" x14ac:dyDescent="0.25">
      <c r="A10">
        <v>1100</v>
      </c>
      <c r="B10" s="2">
        <v>0.98242812999999996</v>
      </c>
      <c r="I10" s="2"/>
    </row>
    <row r="11" spans="1:9" x14ac:dyDescent="0.25">
      <c r="A11">
        <v>1200</v>
      </c>
      <c r="B11" s="2">
        <v>0.98541712999999997</v>
      </c>
    </row>
    <row r="12" spans="1:9" x14ac:dyDescent="0.25">
      <c r="A12">
        <v>1300</v>
      </c>
      <c r="B12" s="2">
        <v>0.98907566999999996</v>
      </c>
    </row>
    <row r="13" spans="1:9" x14ac:dyDescent="0.25">
      <c r="A13">
        <v>1500</v>
      </c>
      <c r="B13" s="2">
        <v>0.99590500999999998</v>
      </c>
    </row>
    <row r="14" spans="1:9" x14ac:dyDescent="0.25">
      <c r="A14">
        <v>1800</v>
      </c>
      <c r="B14" s="2">
        <v>0.99993215000000002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Farmers_linked</vt:lpstr>
      <vt:lpstr>reliability_table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Brent  Walton</dc:creator>
  <cp:lastModifiedBy>Nick Clark</cp:lastModifiedBy>
  <dcterms:created xsi:type="dcterms:W3CDTF">2024-08-07T01:20:33Z</dcterms:created>
  <dcterms:modified xsi:type="dcterms:W3CDTF">2024-08-13T00:12:19Z</dcterms:modified>
</cp:coreProperties>
</file>